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XLSundGrafiken\"/>
    </mc:Choice>
  </mc:AlternateContent>
  <xr:revisionPtr revIDLastSave="0" documentId="13_ncr:1_{31BE03CE-FB76-4565-A6CB-F347F310BDE2}" xr6:coauthVersionLast="47" xr6:coauthVersionMax="47" xr10:uidLastSave="{00000000-0000-0000-0000-000000000000}"/>
  <bookViews>
    <workbookView xWindow="-110" yWindow="-110" windowWidth="38620" windowHeight="21100" activeTab="1" xr2:uid="{0B1A65A8-3CFA-479D-8ED9-11D61526752B}"/>
  </bookViews>
  <sheets>
    <sheet name="Gas" sheetId="1" r:id="rId1"/>
    <sheet name="Öl" sheetId="4" r:id="rId2"/>
    <sheet name="Variablen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4" l="1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N28" i="4"/>
  <c r="N28" i="1"/>
  <c r="C34" i="4" l="1"/>
  <c r="D34" i="4" s="1"/>
  <c r="E34" i="4" s="1"/>
  <c r="C24" i="4"/>
  <c r="I25" i="4" s="1"/>
  <c r="I26" i="4" s="1"/>
  <c r="C24" i="1"/>
  <c r="C34" i="1" s="1"/>
  <c r="D34" i="1" s="1"/>
  <c r="E34" i="1" s="1"/>
  <c r="N27" i="4"/>
  <c r="N27" i="1"/>
  <c r="S26" i="1"/>
  <c r="S25" i="4"/>
  <c r="F33" i="4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Q33" i="4" s="1"/>
  <c r="R33" i="4" s="1"/>
  <c r="S33" i="4" s="1"/>
  <c r="S27" i="4"/>
  <c r="S26" i="4"/>
  <c r="N25" i="4"/>
  <c r="I24" i="4"/>
  <c r="F34" i="4" l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Q34" i="4" s="1"/>
  <c r="R34" i="4" s="1"/>
  <c r="S34" i="4" s="1"/>
  <c r="I27" i="4"/>
  <c r="N24" i="4" s="1"/>
  <c r="N26" i="4" s="1"/>
  <c r="C25" i="4"/>
  <c r="C35" i="4"/>
  <c r="D35" i="4" s="1"/>
  <c r="E35" i="4" s="1"/>
  <c r="F35" i="4" s="1"/>
  <c r="G35" i="4" s="1"/>
  <c r="H35" i="4" s="1"/>
  <c r="I35" i="4" s="1"/>
  <c r="J35" i="4" s="1"/>
  <c r="K35" i="4" s="1"/>
  <c r="L35" i="4" s="1"/>
  <c r="M35" i="4" s="1"/>
  <c r="N35" i="4" s="1"/>
  <c r="O35" i="4" s="1"/>
  <c r="P35" i="4" s="1"/>
  <c r="Q35" i="4" s="1"/>
  <c r="R35" i="4" s="1"/>
  <c r="S35" i="4" s="1"/>
  <c r="C36" i="4"/>
  <c r="C26" i="4"/>
  <c r="I24" i="1"/>
  <c r="S27" i="1"/>
  <c r="S25" i="1"/>
  <c r="N25" i="1"/>
  <c r="F33" i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F34" i="1" l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I25" i="1"/>
  <c r="I26" i="1" s="1"/>
  <c r="I27" i="1"/>
  <c r="N24" i="1" s="1"/>
  <c r="D36" i="4"/>
  <c r="C25" i="1"/>
  <c r="C36" i="1"/>
  <c r="C35" i="1" l="1"/>
  <c r="D35" i="1" s="1"/>
  <c r="E35" i="1" s="1"/>
  <c r="F35" i="1" s="1"/>
  <c r="N26" i="1"/>
  <c r="E36" i="4"/>
  <c r="F36" i="4"/>
  <c r="C26" i="1"/>
  <c r="D36" i="1"/>
  <c r="G35" i="1" l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E36" i="1"/>
  <c r="F36" i="1"/>
  <c r="G36" i="4" l="1"/>
  <c r="Q36" i="1"/>
  <c r="O36" i="1"/>
  <c r="H36" i="1"/>
  <c r="P36" i="1"/>
  <c r="S36" i="1"/>
  <c r="K36" i="1"/>
  <c r="J36" i="1"/>
  <c r="G36" i="1"/>
  <c r="M36" i="1"/>
  <c r="N36" i="1"/>
  <c r="L36" i="1"/>
  <c r="I36" i="1"/>
  <c r="R36" i="1"/>
  <c r="H36" i="4" l="1"/>
  <c r="I36" i="4" l="1"/>
  <c r="K36" i="4" l="1"/>
  <c r="J36" i="4"/>
  <c r="L36" i="4"/>
  <c r="M36" i="4" l="1"/>
  <c r="N36" i="4" l="1"/>
  <c r="O36" i="4" l="1"/>
  <c r="P36" i="4" l="1"/>
  <c r="Q36" i="4" l="1"/>
  <c r="S36" i="4" l="1"/>
  <c r="R36" i="4"/>
</calcChain>
</file>

<file path=xl/sharedStrings.xml><?xml version="1.0" encoding="utf-8"?>
<sst xmlns="http://schemas.openxmlformats.org/spreadsheetml/2006/main" count="154" uniqueCount="95">
  <si>
    <t>Alter Gastherme</t>
  </si>
  <si>
    <t>Jahresverbrauch kWh</t>
  </si>
  <si>
    <t>Sanierungsstand Gebäude</t>
  </si>
  <si>
    <t>über 20 Jahre</t>
  </si>
  <si>
    <t>unter 20 Jahre</t>
  </si>
  <si>
    <t>unsaniert zwischen 1980 und 1995</t>
  </si>
  <si>
    <t>saniert zwischen 1980 und 1995</t>
  </si>
  <si>
    <t>zwischen 1995 und 2010</t>
  </si>
  <si>
    <t>nach 2010</t>
  </si>
  <si>
    <t>vor 1980 teilsaniert</t>
  </si>
  <si>
    <t>vor 1980 unsaniert</t>
  </si>
  <si>
    <t>vor 1980 vollsaniert</t>
  </si>
  <si>
    <t>Aktueller Gaspreis in Cent</t>
  </si>
  <si>
    <t>Steigerung Kosten Energie in Prozent</t>
  </si>
  <si>
    <t>Angebot Wärmepumpe in Euro</t>
  </si>
  <si>
    <t>Angebot Gastherme in Euro</t>
  </si>
  <si>
    <t>Jahr</t>
  </si>
  <si>
    <t>CO2-Preis pro Tonne</t>
  </si>
  <si>
    <t>Entwicklung Heizkosten</t>
  </si>
  <si>
    <t>Jahresarbeitszahl WP:</t>
  </si>
  <si>
    <t>Strompreis Wärmepumpe</t>
  </si>
  <si>
    <t>Entwicklung Heizkosten regenerativ</t>
  </si>
  <si>
    <t>Anteil PV-Strom in kWh:</t>
  </si>
  <si>
    <t>Anschaffungspreis Wärmepumpe</t>
  </si>
  <si>
    <t>Anschaffungspreis Gastherme</t>
  </si>
  <si>
    <t>Entwicklung Heizkosten Gas</t>
  </si>
  <si>
    <t>Strompreis in Cent (ggf. WP-Tarif)</t>
  </si>
  <si>
    <t>Steigerung CO2-Preis ab 2027 in Prozent</t>
  </si>
  <si>
    <t>Gesamtausgaben Wärmepumpe</t>
  </si>
  <si>
    <t>Gesamtausgaben Gastherme</t>
  </si>
  <si>
    <t>Erläuterungen:</t>
  </si>
  <si>
    <t>Geschwindigkeitsbonus</t>
  </si>
  <si>
    <t>Einkommensbonus</t>
  </si>
  <si>
    <t>Innovationsbonus</t>
  </si>
  <si>
    <t>Jahreseinkommen &lt; 40.000 €</t>
  </si>
  <si>
    <t>Kältemittel R290 oder Erd-/Sole-WP</t>
  </si>
  <si>
    <t>Ja</t>
  </si>
  <si>
    <t>Nein</t>
  </si>
  <si>
    <t>Gesamtförderung in Prozent</t>
  </si>
  <si>
    <t>5000-10000 kWh</t>
  </si>
  <si>
    <t>10000-15000 kWh</t>
  </si>
  <si>
    <t>15000-20000 kWh</t>
  </si>
  <si>
    <t>Über 20000 kWh</t>
  </si>
  <si>
    <t>Keine PV</t>
  </si>
  <si>
    <t>Photovoltaik Jahresertrag</t>
  </si>
  <si>
    <t>Bis 5000 kWh</t>
  </si>
  <si>
    <t>Betriebskosten</t>
  </si>
  <si>
    <t>Energiekosten Wärmepumpe jährlich</t>
  </si>
  <si>
    <t>Grundförderung</t>
  </si>
  <si>
    <t>Fördersätze in Prozent</t>
  </si>
  <si>
    <t>Investitionskosten in Euro nach Förderung</t>
  </si>
  <si>
    <t>Betriebs-Parameter</t>
  </si>
  <si>
    <t>Wärmebedarf jährlich in kWh</t>
  </si>
  <si>
    <t>Strombedarf Wärmepumpe in kWh</t>
  </si>
  <si>
    <t>Alternativ zu Zeile 13 individuelle JAZ</t>
  </si>
  <si>
    <t>Gem. BEG gilt der Fördersatz für Gasthermen erst ab einem Betriebsalter von über 20 Jahren.</t>
  </si>
  <si>
    <t>Bitte ausfüllen und Erläuterungen unten beachten</t>
  </si>
  <si>
    <t>Bis 2026 ist der CO2-Preis pro Tonne CO2 festgelegt, ab 2027 übernimmt der EU-Emissions-Zertifikatehandel. Die prozentuale Steigerung kann hier eingetragen werden.</t>
  </si>
  <si>
    <t>Die hier eingetragene prozentuale Energiekostensteigerung (Prozent/Jahr) wirkt sich gleichermaßen auf Strom- und Gaspreise aus.</t>
  </si>
  <si>
    <t>Hier wird der aktuelle Gaspreis pro kWh ohne Grundgebühr eingetragen.</t>
  </si>
  <si>
    <t>Hier wird der gemittelte Jahresverbrauch der Gastherme eingetragen.</t>
  </si>
  <si>
    <t>Gem. BEG gilt der Fördersatz bei Einsatz des klimaneutralen Kältemittels R290 oder bei Einsatz einer Sole- oder Erdwärmepumpe.</t>
  </si>
  <si>
    <t>Gem. BEG gilt der Fördesatz bei einem zu versteuernden Haushaltseinkommen bis 40.000 Euro. Grundlage ist der Durchschnitt der letzten beiden Jahre.</t>
  </si>
  <si>
    <t>Die Wahl des Sanierungsstands des Gebäudes bestimmt die Arbeitzahl der Wärmepumpe (Verhältnis Stromverbrauch zu Wärmebereitstellung). Diese Zeile kann als Gradmesser genutzt werden, wenn die JAZ nicht bekannt ist.</t>
  </si>
  <si>
    <t>Wenn die Jahresarbeitszahl bekannt ist, kann in Nummer 8 "Individuelle Wert eine Zeile tiefer" ausgewählt werden, dann wird der hier eingetragene Individual-Wert übernommen.</t>
  </si>
  <si>
    <t>Hier wird der aktuelle Strompreis eingetragen. Wenn ein Wärmepumpen-Tarif existiert, kann dieser eingetragen werden. Dieser wird dann auch für den Stromverbrauch der Gastherme berechnet und verbessert so das Ergebnis für die Gastherme geringfügig.</t>
  </si>
  <si>
    <t>Hier wird der Bereich des PV-Jahresertrags ausgewählt. Dieser bestimmt in Verbindung mit der Jahresarbeitszahl der Wärmepumpe und der benötigten Heizenergie den Anteil der Heizenergie, den die Photovoltaikanlage abdeckt.</t>
  </si>
  <si>
    <t>Hier wird die Angebotssumme für die Installation einer Wärmepumpe inkl. aller dazugehörigen Arbeiten vor Förderung eingetragen.</t>
  </si>
  <si>
    <t>Hier wird die Angebotssumme für die Installation einer Gastherme inkl. aller dazugehörigen Arbeiten eingetragen.</t>
  </si>
  <si>
    <t>Der Wärmebedarf wird anhand des bisherigen Verbrauchs der Gastherme ermittelt, indem der Wirkungsgrad der Gastherme herausgerechnet wird.</t>
  </si>
  <si>
    <t>Der Strombedarf der Wärmepumpe ist das Ergebnis des Wärmebedarfs durch die Jahresarbeitszahl dividiert.</t>
  </si>
  <si>
    <t>Die jährlichen Gesamt-Energiekosten der Wärmepumpe werden aus dem Strombedarf der Wärmepumpe und dem Strompreis der Wärmepumpe ermittelt. Dieser setzt sich aus den anteiligen Netzbezugskosten und den PV-Kosten (10 ct / kWh Gestehungskosten) zusammen</t>
  </si>
  <si>
    <t>Individueller Wert Zeile darunter</t>
  </si>
  <si>
    <t>Ölheizung zum Austausch</t>
  </si>
  <si>
    <t>Jahresverbrauch Liter</t>
  </si>
  <si>
    <t>Aktueller Preis pro Liter in Cent</t>
  </si>
  <si>
    <t>Maximale Fördersumme</t>
  </si>
  <si>
    <t>Aufpreis Wärmepumpe</t>
  </si>
  <si>
    <t xml:space="preserve">Vergleichsrechnung Kosten Gastherme zu Wärmepumpe mit und ohne Photovoltaik-Unterstützung </t>
  </si>
  <si>
    <t xml:space="preserve">Vergleichsrechnung Kosten Ölheizung zu Wärmepumpe mit und ohne Photovoltaik-Unterstützung </t>
  </si>
  <si>
    <t>Entwicklung Heizkosten Öl</t>
  </si>
  <si>
    <t>Gesamtausgaben Ölheizung</t>
  </si>
  <si>
    <t>Anschaffungspreis Ölheizung</t>
  </si>
  <si>
    <t>Gem. BEG gilt der Fördersatz für Ölheizungen altersunabhängig.</t>
  </si>
  <si>
    <t>Hier wird der gemittelte Jahresverbrauch der Ölheizung eingetragen.</t>
  </si>
  <si>
    <t>Hier wird der aktuelle Literpreis für Heizöl eingetragen.</t>
  </si>
  <si>
    <t>Die hier eingetragene prozentuale Energiekostensteigerung (Prozent/Jahr) wirkt sich gleichermaßen auf Strom- und Ölpreis aus.</t>
  </si>
  <si>
    <t>Hier wird die Angebotssumme für die Installation einer Ölheizung inkl. aller dazugehörigen Arbeiten eingetragen.</t>
  </si>
  <si>
    <t>Der Wärmebedarf wird anhand des bisherigen Verbrauchs der Ölheizung ermittelt, indem der Wirkungsgrad der Gastherme herausgerechnet wird.</t>
  </si>
  <si>
    <t>Angebot Ölheizung in Euro</t>
  </si>
  <si>
    <t>Laufzeit Monate</t>
  </si>
  <si>
    <t>Zinssatz Finanzierung in Prozent</t>
  </si>
  <si>
    <t>Bei einer Finanzierung muss hier der Zinssatz des Darlehens eingegeben werden. Bei Eigenkapitalfinanzierung muss hier der Prozentsatz einer möglichen Kapitalanlage angegeben werden</t>
  </si>
  <si>
    <t xml:space="preserve">Hier wird die Laufzeit des Darlehens oder der Kapitalanlage eingegeben </t>
  </si>
  <si>
    <t>Finanzierung/Kapitalanlage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</si>
</sst>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2" fillId="4" borderId="1" xfId="0" applyFont="1" applyFill="1" applyBorder="1" applyAlignment="1">
      <alignment horizontal="right"/>
    </xf>
    <xf numFmtId="1" fontId="0" fillId="5" borderId="1" xfId="0" applyNumberFormat="1" applyFill="1" applyBorder="1"/>
    <xf numFmtId="3" fontId="0" fillId="5" borderId="1" xfId="0" applyNumberFormat="1" applyFill="1" applyBorder="1"/>
    <xf numFmtId="164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0" fillId="5" borderId="0" xfId="0" applyFill="1"/>
    <xf numFmtId="0" fontId="0" fillId="2" borderId="0" xfId="0" applyFill="1"/>
    <xf numFmtId="0" fontId="0" fillId="3" borderId="0" xfId="0" applyFill="1"/>
    <xf numFmtId="0" fontId="1" fillId="7" borderId="0" xfId="0" applyFont="1" applyFill="1" applyAlignment="1">
      <alignment horizontal="center"/>
    </xf>
    <xf numFmtId="0" fontId="0" fillId="0" borderId="0" xfId="0"/>
    <xf numFmtId="0" fontId="0" fillId="5" borderId="0" xfId="0" applyFill="1" applyBorder="1" applyAlignment="1">
      <alignment horizontal="right"/>
    </xf>
    <xf numFmtId="164" fontId="0" fillId="5" borderId="0" xfId="0" applyNumberFormat="1" applyFill="1" applyBorder="1"/>
    <xf numFmtId="0" fontId="0" fillId="3" borderId="0" xfId="0" applyFill="1" applyBorder="1"/>
    <xf numFmtId="0" fontId="0" fillId="0" borderId="0" xfId="0" applyFill="1" applyBorder="1"/>
    <xf numFmtId="10" fontId="0" fillId="5" borderId="1" xfId="0" applyNumberFormat="1" applyFill="1" applyBorder="1"/>
    <xf numFmtId="0" fontId="0" fillId="5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Gesamtkosten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Gas!$B$36</c:f>
              <c:strCache>
                <c:ptCount val="1"/>
                <c:pt idx="0">
                  <c:v>Gesamtausgaben Gastherme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Gas!$C$32:$S$32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Gas!$C$36:$S$36</c:f>
              <c:numCache>
                <c:formatCode>#,##0.00\ "€"</c:formatCode>
                <c:ptCount val="17"/>
                <c:pt idx="0">
                  <c:v>11676.76</c:v>
                </c:pt>
                <c:pt idx="1">
                  <c:v>13487.338</c:v>
                </c:pt>
                <c:pt idx="2">
                  <c:v>15438.4249</c:v>
                </c:pt>
                <c:pt idx="3">
                  <c:v>17519.553144999998</c:v>
                </c:pt>
                <c:pt idx="4">
                  <c:v>19740.473502249999</c:v>
                </c:pt>
                <c:pt idx="5">
                  <c:v>22111.749147362498</c:v>
                </c:pt>
                <c:pt idx="6">
                  <c:v>24644.828771730623</c:v>
                </c:pt>
                <c:pt idx="7">
                  <c:v>27352.126594017158</c:v>
                </c:pt>
                <c:pt idx="8">
                  <c:v>30247.109945788015</c:v>
                </c:pt>
                <c:pt idx="9">
                  <c:v>33344.395167354422</c:v>
                </c:pt>
                <c:pt idx="10">
                  <c:v>36659.852622426843</c:v>
                </c:pt>
                <c:pt idx="11">
                  <c:v>40210.721719923349</c:v>
                </c:pt>
                <c:pt idx="12">
                  <c:v>44015.736918932205</c:v>
                </c:pt>
                <c:pt idx="13">
                  <c:v>48095.265789192774</c:v>
                </c:pt>
                <c:pt idx="14">
                  <c:v>52471.460305397763</c:v>
                </c:pt>
                <c:pt idx="15">
                  <c:v>57168.422670087537</c:v>
                </c:pt>
                <c:pt idx="16">
                  <c:v>62212.387087953794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B-47C1-A23B-C72FFE36FF73}"/>
            </c:ext>
          </c:extLst>
        </c:ser>
        <c:ser>
          <c:idx val="1"/>
          <c:order val="1"/>
          <c:tx>
            <c:strRef>
              <c:f>Gas!$B$37</c:f>
              <c:strCache>
                <c:ptCount val="1"/>
                <c:pt idx="0">
                  <c:v>Gesamtausgaben Wärmepumpe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Gas!$C$32:$S$32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Gas!$C$37:$S$37</c:f>
              <c:numCache>
                <c:formatCode>#,##0.00\ "€"</c:formatCode>
                <c:ptCount val="17"/>
                <c:pt idx="0">
                  <c:v>21399.444951808942</c:v>
                </c:pt>
                <c:pt idx="1">
                  <c:v>22676.467722079211</c:v>
                </c:pt>
                <c:pt idx="2">
                  <c:v>24017.341630862997</c:v>
                </c:pt>
                <c:pt idx="3">
                  <c:v>25425.259235085967</c:v>
                </c:pt>
                <c:pt idx="4">
                  <c:v>26903.572719520089</c:v>
                </c:pt>
                <c:pt idx="5">
                  <c:v>28455.801878175916</c:v>
                </c:pt>
                <c:pt idx="6">
                  <c:v>30085.642494764536</c:v>
                </c:pt>
                <c:pt idx="7">
                  <c:v>31796.975142182586</c:v>
                </c:pt>
                <c:pt idx="8">
                  <c:v>33593.874421971537</c:v>
                </c:pt>
                <c:pt idx="9">
                  <c:v>35480.618665749935</c:v>
                </c:pt>
                <c:pt idx="10">
                  <c:v>37461.700121717251</c:v>
                </c:pt>
                <c:pt idx="11">
                  <c:v>39541.835650482943</c:v>
                </c:pt>
                <c:pt idx="12">
                  <c:v>41725.977955686903</c:v>
                </c:pt>
                <c:pt idx="13">
                  <c:v>44019.327376151079</c:v>
                </c:pt>
                <c:pt idx="14">
                  <c:v>46427.344267638444</c:v>
                </c:pt>
                <c:pt idx="15">
                  <c:v>48955.762003700191</c:v>
                </c:pt>
                <c:pt idx="16">
                  <c:v>51610.600626565021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B-47C1-A23B-C72FFE36F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3294560"/>
        <c:axId val="1403311120"/>
      </c:lineChart>
      <c:catAx>
        <c:axId val="14032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3311120"/>
        <c:crosses val="autoZero"/>
        <c:auto val="1"/>
        <c:lblAlgn val="ctr"/>
        <c:lblOffset val="100"/>
        <c:noMultiLvlLbl val="0"/>
      </c:catAx>
      <c:valAx>
        <c:axId val="14033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32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Gesamtkosten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Öl!$B$36</c:f>
              <c:strCache>
                <c:ptCount val="1"/>
                <c:pt idx="0">
                  <c:v>Gesamtausgaben Ölheizung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Öl!$C$32:$S$32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Öl!$C$36:$S$36</c:f>
              <c:numCache>
                <c:formatCode>#,##0.00\ "€"</c:formatCode>
                <c:ptCount val="17"/>
                <c:pt idx="0">
                  <c:v>12881.55</c:v>
                </c:pt>
                <c:pt idx="1">
                  <c:v>15914.335388888889</c:v>
                </c:pt>
                <c:pt idx="2">
                  <c:v>19102.893228333334</c:v>
                </c:pt>
                <c:pt idx="3">
                  <c:v>22437.643136294442</c:v>
                </c:pt>
                <c:pt idx="4">
                  <c:v>25929.035114827719</c:v>
                </c:pt>
                <c:pt idx="5">
                  <c:v>29588.560374850327</c:v>
                </c:pt>
                <c:pt idx="6">
                  <c:v>33428.869897462951</c:v>
                </c:pt>
                <c:pt idx="7">
                  <c:v>37463.907031117997</c:v>
                </c:pt>
                <c:pt idx="8">
                  <c:v>41709.055803190444</c:v>
                </c:pt>
                <c:pt idx="9">
                  <c:v>46181.306825761727</c:v>
                </c:pt>
                <c:pt idx="10">
                  <c:v>50899.44290082722</c:v>
                </c:pt>
                <c:pt idx="11">
                  <c:v>55884.246682579796</c:v>
                </c:pt>
                <c:pt idx="12">
                  <c:v>61158.733037152284</c:v>
                </c:pt>
                <c:pt idx="13">
                  <c:v>66748.409056853357</c:v>
                </c:pt>
                <c:pt idx="14">
                  <c:v>72681.565040575835</c:v>
                </c:pt>
                <c:pt idx="15">
                  <c:v>78989.60014925203</c:v>
                </c:pt>
                <c:pt idx="16">
                  <c:v>85707.386890083566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B-4861-8825-AF4B87F34468}"/>
            </c:ext>
          </c:extLst>
        </c:ser>
        <c:ser>
          <c:idx val="1"/>
          <c:order val="1"/>
          <c:tx>
            <c:strRef>
              <c:f>Öl!$B$37</c:f>
              <c:strCache>
                <c:ptCount val="1"/>
                <c:pt idx="0">
                  <c:v>Gesamtausgaben Wärmepumpe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Öl!$C$32:$S$32</c:f>
              <c:numCache>
                <c:formatCode>General</c:formatCode>
                <c:ptCount val="1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</c:numCache>
            </c:numRef>
          </c:cat>
          <c:val>
            <c:numRef>
              <c:f>Öl!$C$37:$S$37</c:f>
              <c:numCache>
                <c:formatCode>#,##0.00\ "€"</c:formatCode>
                <c:ptCount val="17"/>
                <c:pt idx="0">
                  <c:v>14833.173045589079</c:v>
                </c:pt>
                <c:pt idx="1">
                  <c:v>16335.603850325922</c:v>
                </c:pt>
                <c:pt idx="2">
                  <c:v>17883.107579204869</c:v>
                </c:pt>
                <c:pt idx="3">
                  <c:v>19477.036419950186</c:v>
                </c:pt>
                <c:pt idx="4">
                  <c:v>21118.78312591786</c:v>
                </c:pt>
                <c:pt idx="5">
                  <c:v>22809.782233064565</c:v>
                </c:pt>
                <c:pt idx="6">
                  <c:v>24551.511313425675</c:v>
                </c:pt>
                <c:pt idx="7">
                  <c:v>26345.492266197616</c:v>
                </c:pt>
                <c:pt idx="8">
                  <c:v>28193.292647552713</c:v>
                </c:pt>
                <c:pt idx="9">
                  <c:v>30096.527040348465</c:v>
                </c:pt>
                <c:pt idx="10">
                  <c:v>32056.858464928089</c:v>
                </c:pt>
                <c:pt idx="11">
                  <c:v>34075.999832245107</c:v>
                </c:pt>
                <c:pt idx="12">
                  <c:v>36155.715440581625</c:v>
                </c:pt>
                <c:pt idx="13">
                  <c:v>38297.822517168242</c:v>
                </c:pt>
                <c:pt idx="14">
                  <c:v>40504.192806052459</c:v>
                </c:pt>
                <c:pt idx="15">
                  <c:v>42776.754203603203</c:v>
                </c:pt>
                <c:pt idx="16">
                  <c:v>45117.492443080468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B-4861-8825-AF4B87F34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3294560"/>
        <c:axId val="1403311120"/>
      </c:lineChart>
      <c:catAx>
        <c:axId val="140329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3311120"/>
        <c:crosses val="autoZero"/>
        <c:auto val="1"/>
        <c:lblAlgn val="ctr"/>
        <c:lblOffset val="100"/>
        <c:noMultiLvlLbl val="0"/>
      </c:catAx>
      <c:valAx>
        <c:axId val="14033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0329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12700</xdr:rowOff>
    </xdr:from>
    <xdr:to>
      <xdr:col>19</xdr:col>
      <xdr:colOff>12700</xdr:colOff>
      <xdr:row>20</xdr:row>
      <xdr:rowOff>177800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CBC5563-3DDC-A93C-1393-0277D715C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1468238</xdr:colOff>
      <xdr:row>1</xdr:row>
      <xdr:rowOff>12700</xdr:rowOff>
    </xdr:from>
    <xdr:to>
      <xdr:col>2</xdr:col>
      <xdr:colOff>213121</xdr:colOff>
      <xdr:row>6</xdr:row>
      <xdr:rowOff>177800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435C50E-073A-4C9E-8A28-E8BB2F9E0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388" y="374650"/>
          <a:ext cx="111978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12700</xdr:rowOff>
    </xdr:from>
    <xdr:to>
      <xdr:col>19</xdr:col>
      <xdr:colOff>12700</xdr:colOff>
      <xdr:row>20</xdr:row>
      <xdr:rowOff>177800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D05A9CE-8806-4774-B913-6069EE35F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1468238</xdr:colOff>
      <xdr:row>1</xdr:row>
      <xdr:rowOff>12700</xdr:rowOff>
    </xdr:from>
    <xdr:to>
      <xdr:col>2</xdr:col>
      <xdr:colOff>213122</xdr:colOff>
      <xdr:row>6</xdr:row>
      <xdr:rowOff>177800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B5EB2C8-4BF9-4597-9A25-0972D5594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388" y="374650"/>
          <a:ext cx="1119783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428-DB94-4FF2-B9D0-ECF806F22878}">
  <dimension ref="A1:S61"/>
  <sheetViews>
    <sheetView zoomScaleNormal="100" workbookViewId="0">
      <selection activeCell="A56" sqref="A56:XFD57"/>
    </sheetView>
  </sheetViews>
  <sheetFormatPr baseColWidth="10" defaultRowHeight="14.5" x14ac:dyDescent="0.35"/>
  <cols>
    <col min="1" max="1" width="2.6328125" customWidth="1"/>
    <col min="2" max="2" width="34" customWidth="1"/>
    <col min="3" max="3" width="23.08984375" customWidth="1"/>
    <col min="4" max="9" width="10.26953125" bestFit="1" customWidth="1"/>
    <col min="10" max="15" width="11.26953125" bestFit="1" customWidth="1"/>
    <col min="16" max="19" width="12.81640625" bestFit="1" customWidth="1"/>
  </cols>
  <sheetData>
    <row r="1" spans="1:19" ht="28.5" x14ac:dyDescent="0.65">
      <c r="B1" s="18" t="s">
        <v>78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7"/>
      <c r="R1" s="7"/>
      <c r="S1" s="7"/>
    </row>
    <row r="8" spans="1:19" x14ac:dyDescent="0.35">
      <c r="A8" s="3"/>
      <c r="B8" s="3" t="s">
        <v>56</v>
      </c>
      <c r="C8" s="3"/>
    </row>
    <row r="9" spans="1:19" x14ac:dyDescent="0.35">
      <c r="A9" s="4">
        <v>1</v>
      </c>
      <c r="B9" s="4" t="s">
        <v>0</v>
      </c>
      <c r="C9" s="8" t="s">
        <v>4</v>
      </c>
    </row>
    <row r="10" spans="1:19" x14ac:dyDescent="0.35">
      <c r="A10" s="4">
        <v>2</v>
      </c>
      <c r="B10" s="4" t="s">
        <v>34</v>
      </c>
      <c r="C10" s="8" t="s">
        <v>37</v>
      </c>
    </row>
    <row r="11" spans="1:19" x14ac:dyDescent="0.35">
      <c r="A11" s="4">
        <v>3</v>
      </c>
      <c r="B11" s="4" t="s">
        <v>35</v>
      </c>
      <c r="C11" s="8" t="s">
        <v>36</v>
      </c>
    </row>
    <row r="12" spans="1:19" x14ac:dyDescent="0.35">
      <c r="A12" s="4">
        <v>4</v>
      </c>
      <c r="B12" s="4" t="s">
        <v>1</v>
      </c>
      <c r="C12" s="9">
        <v>21000</v>
      </c>
    </row>
    <row r="13" spans="1:19" x14ac:dyDescent="0.35">
      <c r="A13" s="4">
        <v>5</v>
      </c>
      <c r="B13" s="4" t="s">
        <v>12</v>
      </c>
      <c r="C13" s="9">
        <v>6.27</v>
      </c>
    </row>
    <row r="14" spans="1:19" x14ac:dyDescent="0.35">
      <c r="A14" s="4">
        <v>6</v>
      </c>
      <c r="B14" s="4" t="s">
        <v>13</v>
      </c>
      <c r="C14" s="9">
        <v>5</v>
      </c>
    </row>
    <row r="15" spans="1:19" x14ac:dyDescent="0.35">
      <c r="A15" s="4">
        <v>7</v>
      </c>
      <c r="B15" s="4" t="s">
        <v>27</v>
      </c>
      <c r="C15" s="9">
        <v>10</v>
      </c>
    </row>
    <row r="16" spans="1:19" x14ac:dyDescent="0.35">
      <c r="A16" s="4">
        <v>8</v>
      </c>
      <c r="B16" s="4" t="s">
        <v>2</v>
      </c>
      <c r="C16" s="10" t="s">
        <v>72</v>
      </c>
    </row>
    <row r="17" spans="1:19" x14ac:dyDescent="0.35">
      <c r="A17" s="4">
        <v>9</v>
      </c>
      <c r="B17" s="4" t="s">
        <v>54</v>
      </c>
      <c r="C17" s="8">
        <v>3.7</v>
      </c>
    </row>
    <row r="18" spans="1:19" x14ac:dyDescent="0.35">
      <c r="A18" s="4">
        <v>10</v>
      </c>
      <c r="B18" s="4" t="s">
        <v>26</v>
      </c>
      <c r="C18" s="9">
        <v>29.5</v>
      </c>
    </row>
    <row r="19" spans="1:19" x14ac:dyDescent="0.35">
      <c r="A19" s="4">
        <v>11</v>
      </c>
      <c r="B19" s="4" t="s">
        <v>44</v>
      </c>
      <c r="C19" s="8" t="s">
        <v>39</v>
      </c>
    </row>
    <row r="20" spans="1:19" x14ac:dyDescent="0.35">
      <c r="A20" s="4">
        <v>12</v>
      </c>
      <c r="B20" s="4" t="s">
        <v>14</v>
      </c>
      <c r="C20" s="9">
        <v>28500</v>
      </c>
      <c r="F20" s="19"/>
      <c r="G20" s="19"/>
      <c r="H20" s="19"/>
      <c r="I20" s="1"/>
      <c r="K20" s="19"/>
      <c r="L20" s="19"/>
      <c r="M20" s="19"/>
    </row>
    <row r="21" spans="1:19" x14ac:dyDescent="0.35">
      <c r="A21" s="4">
        <v>13</v>
      </c>
      <c r="B21" s="4" t="s">
        <v>15</v>
      </c>
      <c r="C21" s="9">
        <v>10000</v>
      </c>
      <c r="F21" s="19"/>
      <c r="G21" s="19"/>
      <c r="H21" s="19"/>
      <c r="I21" s="2"/>
      <c r="K21" s="19"/>
      <c r="L21" s="19"/>
      <c r="M21" s="19"/>
    </row>
    <row r="22" spans="1:19" x14ac:dyDescent="0.35">
      <c r="I22" s="2"/>
    </row>
    <row r="23" spans="1:19" x14ac:dyDescent="0.35">
      <c r="A23" s="3"/>
      <c r="B23" s="16" t="s">
        <v>46</v>
      </c>
      <c r="C23" s="16"/>
      <c r="F23" s="16" t="s">
        <v>51</v>
      </c>
      <c r="G23" s="16"/>
      <c r="H23" s="16"/>
      <c r="I23" s="16"/>
      <c r="K23" s="16" t="s">
        <v>50</v>
      </c>
      <c r="L23" s="16"/>
      <c r="M23" s="16"/>
      <c r="N23" s="16"/>
      <c r="P23" s="16" t="s">
        <v>49</v>
      </c>
      <c r="Q23" s="16"/>
      <c r="R23" s="16"/>
      <c r="S23" s="16"/>
    </row>
    <row r="24" spans="1:19" x14ac:dyDescent="0.35">
      <c r="A24" s="4">
        <v>14</v>
      </c>
      <c r="B24" s="4" t="s">
        <v>52</v>
      </c>
      <c r="C24" s="11">
        <f>C12*0.85</f>
        <v>17850</v>
      </c>
      <c r="F24" s="17" t="s">
        <v>19</v>
      </c>
      <c r="G24" s="17"/>
      <c r="H24" s="17"/>
      <c r="I24" s="14">
        <f>IF(C16="vor 1980 unsaniert","3",IF(C16="vor 1980 teilsaniert","3,5",IF(C16="vor 1980 vollsaniert","4",IF(C16="unsaniert zwischen 1980 und 1995","3,5",IF(C16="saniert zwischen 1980 und 1995","4",IF(C16="zwischen 1995 und 2010","4,5",IF(C16="nach 2010","5",C17)))))))</f>
        <v>3.7</v>
      </c>
      <c r="K24" s="17" t="s">
        <v>23</v>
      </c>
      <c r="L24" s="17"/>
      <c r="M24" s="17"/>
      <c r="N24" s="13">
        <f>C20-(N27/100*I27)</f>
        <v>18525</v>
      </c>
      <c r="P24" s="17" t="s">
        <v>48</v>
      </c>
      <c r="Q24" s="17"/>
      <c r="R24" s="17"/>
      <c r="S24" s="14">
        <v>30</v>
      </c>
    </row>
    <row r="25" spans="1:19" x14ac:dyDescent="0.35">
      <c r="A25" s="4">
        <v>15</v>
      </c>
      <c r="B25" s="4" t="s">
        <v>53</v>
      </c>
      <c r="C25" s="12">
        <f>C24/I24</f>
        <v>4824.3243243243242</v>
      </c>
      <c r="F25" s="17" t="s">
        <v>22</v>
      </c>
      <c r="G25" s="17"/>
      <c r="H25" s="17"/>
      <c r="I25" s="11">
        <f>IF(C19="Bis 5000 kWh",C12*0.85/I24*0.15,IF(C19="5000-10000 kWh",C12*0.85/I24*0.22,IF(C19="10000-15000 kWh",C12*0.85/I24*0.3,IF(C19="15000-20000 kWh",C12*0.85/I24*0.37,IF(C19="Über 20000 kWh",C12*0.85/I24*0.45,0)))))</f>
        <v>1061.3513513513512</v>
      </c>
      <c r="K25" s="17" t="s">
        <v>24</v>
      </c>
      <c r="L25" s="17"/>
      <c r="M25" s="17"/>
      <c r="N25" s="13">
        <f>C21</f>
        <v>10000</v>
      </c>
      <c r="P25" s="4" t="s">
        <v>31</v>
      </c>
      <c r="Q25" s="4"/>
      <c r="R25" s="4"/>
      <c r="S25" s="14" t="str">
        <f>IF(C9="über 20 Jahre","20","0")</f>
        <v>0</v>
      </c>
    </row>
    <row r="26" spans="1:19" x14ac:dyDescent="0.35">
      <c r="A26" s="4">
        <v>16</v>
      </c>
      <c r="B26" s="4" t="s">
        <v>47</v>
      </c>
      <c r="C26" s="13">
        <f>C25*I26</f>
        <v>1216.2121621621623</v>
      </c>
      <c r="F26" s="17" t="s">
        <v>20</v>
      </c>
      <c r="G26" s="17"/>
      <c r="H26" s="17"/>
      <c r="I26" s="13">
        <f>(I25*0.1+(C24/I24-I25)*C18/100)/(C24/I24)</f>
        <v>0.25210000000000005</v>
      </c>
      <c r="K26" s="17" t="s">
        <v>77</v>
      </c>
      <c r="L26" s="17"/>
      <c r="M26" s="17"/>
      <c r="N26" s="13">
        <f>N24-N25</f>
        <v>8525</v>
      </c>
      <c r="P26" s="4" t="s">
        <v>32</v>
      </c>
      <c r="Q26" s="4"/>
      <c r="R26" s="4"/>
      <c r="S26" s="14" t="str">
        <f>IF(C10="Ja","30","0")</f>
        <v>0</v>
      </c>
    </row>
    <row r="27" spans="1:19" x14ac:dyDescent="0.35">
      <c r="F27" s="17" t="s">
        <v>38</v>
      </c>
      <c r="G27" s="17"/>
      <c r="H27" s="17"/>
      <c r="I27" s="14">
        <f>MIN(70,(S24+S25+S26+S27))</f>
        <v>35</v>
      </c>
      <c r="K27" s="17" t="s">
        <v>76</v>
      </c>
      <c r="L27" s="17"/>
      <c r="M27" s="17"/>
      <c r="N27" s="13">
        <f>MIN(30000,(C20))</f>
        <v>28500</v>
      </c>
      <c r="P27" s="4" t="s">
        <v>33</v>
      </c>
      <c r="Q27" s="4"/>
      <c r="R27" s="4"/>
      <c r="S27" s="14" t="str">
        <f>IF(C11="Ja","5","0")</f>
        <v>5</v>
      </c>
    </row>
    <row r="28" spans="1:19" x14ac:dyDescent="0.35">
      <c r="A28" s="4">
        <v>17</v>
      </c>
      <c r="B28" s="22" t="s">
        <v>91</v>
      </c>
      <c r="C28" s="24">
        <v>3.9E-2</v>
      </c>
      <c r="F28" s="17"/>
      <c r="G28" s="17"/>
      <c r="H28" s="17"/>
      <c r="I28" s="20"/>
      <c r="K28" s="17" t="s">
        <v>94</v>
      </c>
      <c r="L28" s="17"/>
      <c r="M28" s="17"/>
      <c r="N28" s="21">
        <f>CUMIPMT(C28/12,C29*12,N26,1,60,0)</f>
        <v>-1658.2327896467796</v>
      </c>
      <c r="P28" s="4"/>
      <c r="Q28" s="4"/>
      <c r="R28" s="4"/>
      <c r="S28" s="20"/>
    </row>
    <row r="29" spans="1:19" x14ac:dyDescent="0.35">
      <c r="A29" s="4">
        <v>18</v>
      </c>
      <c r="B29" s="22" t="s">
        <v>90</v>
      </c>
      <c r="C29" s="25">
        <v>96</v>
      </c>
      <c r="I29" s="1"/>
    </row>
    <row r="30" spans="1:19" x14ac:dyDescent="0.35">
      <c r="B30" s="23"/>
      <c r="I30" s="1"/>
    </row>
    <row r="31" spans="1:19" x14ac:dyDescent="0.35">
      <c r="A31" s="3"/>
      <c r="B31" s="3" t="s">
        <v>18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5">
      <c r="A32" s="6"/>
      <c r="B32" s="6" t="s">
        <v>16</v>
      </c>
      <c r="C32" s="6">
        <v>2024</v>
      </c>
      <c r="D32" s="6">
        <v>2025</v>
      </c>
      <c r="E32" s="6">
        <v>2026</v>
      </c>
      <c r="F32" s="6">
        <v>2027</v>
      </c>
      <c r="G32" s="6">
        <v>2028</v>
      </c>
      <c r="H32" s="6">
        <v>2029</v>
      </c>
      <c r="I32" s="6">
        <v>2030</v>
      </c>
      <c r="J32" s="6">
        <v>2031</v>
      </c>
      <c r="K32" s="6">
        <v>2032</v>
      </c>
      <c r="L32" s="6">
        <v>2033</v>
      </c>
      <c r="M32" s="6">
        <v>2034</v>
      </c>
      <c r="N32" s="6">
        <v>2035</v>
      </c>
      <c r="O32" s="6">
        <v>2036</v>
      </c>
      <c r="P32" s="6">
        <v>2037</v>
      </c>
      <c r="Q32" s="6">
        <v>2038</v>
      </c>
      <c r="R32" s="6">
        <v>2039</v>
      </c>
      <c r="S32" s="6">
        <v>2040</v>
      </c>
    </row>
    <row r="33" spans="1:19" x14ac:dyDescent="0.35">
      <c r="A33" s="5"/>
      <c r="B33" s="5" t="s">
        <v>17</v>
      </c>
      <c r="C33" s="13">
        <v>45</v>
      </c>
      <c r="D33" s="13">
        <v>55</v>
      </c>
      <c r="E33" s="13">
        <v>65</v>
      </c>
      <c r="F33" s="13">
        <f>E33*(1+(C15/100))</f>
        <v>71.5</v>
      </c>
      <c r="G33" s="13">
        <f>F33*(1+(C15/100))</f>
        <v>78.650000000000006</v>
      </c>
      <c r="H33" s="13">
        <f>G33*(1+(C15/100))</f>
        <v>86.515000000000015</v>
      </c>
      <c r="I33" s="13">
        <f>H33*(1+(C15/100))</f>
        <v>95.166500000000028</v>
      </c>
      <c r="J33" s="13">
        <f>I33*(1+(C15/100))</f>
        <v>104.68315000000004</v>
      </c>
      <c r="K33" s="13">
        <f>J33*(1+(C15/100))</f>
        <v>115.15146500000006</v>
      </c>
      <c r="L33" s="13">
        <f>K33*(1+(C15/100))</f>
        <v>126.66661150000007</v>
      </c>
      <c r="M33" s="13">
        <f>L33*(1+(C15/100))</f>
        <v>139.33327265000008</v>
      </c>
      <c r="N33" s="13">
        <f>M33*(1+(C15/100))</f>
        <v>153.26659991500011</v>
      </c>
      <c r="O33" s="13">
        <f>N33*(1+(C15/100))</f>
        <v>168.59325990650015</v>
      </c>
      <c r="P33" s="13">
        <f>O33*(1+(C15/100))</f>
        <v>185.45258589715019</v>
      </c>
      <c r="Q33" s="13">
        <f>P33*(1+(C15/100))</f>
        <v>203.99784448686523</v>
      </c>
      <c r="R33" s="13">
        <f>Q33*(1+(C15/100))</f>
        <v>224.39762893555178</v>
      </c>
      <c r="S33" s="13">
        <f>R33*(1+(C15/100))</f>
        <v>246.83739182910699</v>
      </c>
    </row>
    <row r="34" spans="1:19" x14ac:dyDescent="0.35">
      <c r="A34" s="5"/>
      <c r="B34" s="5" t="s">
        <v>25</v>
      </c>
      <c r="C34" s="13">
        <f>((C24/0.95)*C13/100)+((C33*1.19)*(C12/5000))+200+(2.5*C18)</f>
        <v>1676.76</v>
      </c>
      <c r="D34" s="13">
        <f>C34+C34*(C14/100)+(D33-C33)*1.19*(C12/5000)</f>
        <v>1810.578</v>
      </c>
      <c r="E34" s="13">
        <f>D34+D34*(C14/100)+(E33-D33)*1.19*(C12/5000)</f>
        <v>1951.0869</v>
      </c>
      <c r="F34" s="13">
        <f>E34+E34*(C14/100)+(F33-E33)*1.19*(C12/5000)</f>
        <v>2081.1282449999999</v>
      </c>
      <c r="G34" s="13">
        <f>F34+F34*(C14/100)+(G33-F33)*1.19*(C12/5000)</f>
        <v>2220.9203572500001</v>
      </c>
      <c r="H34" s="13">
        <f>G34+G34*(C14/100)+(H33-G33)*1.19*(C12/5000)</f>
        <v>2371.2756451125001</v>
      </c>
      <c r="I34" s="13">
        <f>H34+H34*(C14/100)+(I33-H33)*1.19*(C12/5000)</f>
        <v>2533.0796243681252</v>
      </c>
      <c r="J34" s="13">
        <f>I34+I34*(C14/100)+(J33-I33)*1.19*(C12/5000)</f>
        <v>2707.2978222865318</v>
      </c>
      <c r="K34" s="13">
        <f>J34+J34*(C14/100)+(K33-J33)*1.19*(C12/5000)</f>
        <v>2894.983351770858</v>
      </c>
      <c r="L34" s="13">
        <f>K34+K34*(C14/100)+(L33-K33)*1.19*(C12/5000)</f>
        <v>3097.2852215664011</v>
      </c>
      <c r="M34" s="13">
        <f>L34+L34*(C14/100)+(M33-L33)*1.19*(C12/5000)</f>
        <v>3315.457455072421</v>
      </c>
      <c r="N34" s="13">
        <f>M34+M34*(C14/100)+(N33-M33)*1.19*(C12/5000)</f>
        <v>3550.869097496512</v>
      </c>
      <c r="O34" s="13">
        <f>N34+N34*(C14/100)+(O33-N33)*1.19*(C12/5000)</f>
        <v>3805.0151990088552</v>
      </c>
      <c r="P34" s="13">
        <f>O34+O34*(C14/100)+(P33-O33)*1.19*(C12/5000)</f>
        <v>4079.5288702605671</v>
      </c>
      <c r="Q34" s="13">
        <f>P34+P34*(C14/100)+(Q33-P33)*1.19*(C12/5000)</f>
        <v>4376.1945162049915</v>
      </c>
      <c r="R34" s="13">
        <f>Q34+Q34*(C14/100)+(R33-Q33)*1.19*(C12/5000)</f>
        <v>4696.9623646897762</v>
      </c>
      <c r="S34" s="13">
        <f>R34+R34*(C14/100)+(S33-R33)*1.19*(C12/5000)</f>
        <v>5043.9644178662538</v>
      </c>
    </row>
    <row r="35" spans="1:19" x14ac:dyDescent="0.35">
      <c r="A35" s="5"/>
      <c r="B35" s="5" t="s">
        <v>21</v>
      </c>
      <c r="C35" s="13">
        <f>(C24/I24)*(C18/100)-(I25*((C18-10)/100))</f>
        <v>1216.212162162162</v>
      </c>
      <c r="D35" s="13">
        <f>C35+(C35*C14/100)</f>
        <v>1277.02277027027</v>
      </c>
      <c r="E35" s="13">
        <f>D35+(D35*C14/100)</f>
        <v>1340.8739087837835</v>
      </c>
      <c r="F35" s="13">
        <f>E35+(E35*C14/100)</f>
        <v>1407.9176042229726</v>
      </c>
      <c r="G35" s="13">
        <f>F35+(F35*C14/100)</f>
        <v>1478.3134844341212</v>
      </c>
      <c r="H35" s="13">
        <f>G35+(G35*C14/100)</f>
        <v>1552.2291586558272</v>
      </c>
      <c r="I35" s="13">
        <f>H35+(H35*C14/100)</f>
        <v>1629.8406165886186</v>
      </c>
      <c r="J35" s="13">
        <f>I35+(I35*C14/100)</f>
        <v>1711.3326474180494</v>
      </c>
      <c r="K35" s="13">
        <f>J35+(J35*C14/100)</f>
        <v>1796.8992797889518</v>
      </c>
      <c r="L35" s="13">
        <f>K35+(K35*C14/100)</f>
        <v>1886.7442437783993</v>
      </c>
      <c r="M35" s="13">
        <f>L35+(L35*C14/100)</f>
        <v>1981.0814559673192</v>
      </c>
      <c r="N35" s="13">
        <f>M35+(M35*C14/100)</f>
        <v>2080.1355287656852</v>
      </c>
      <c r="O35" s="13">
        <f>N35+(N35*C14/100)</f>
        <v>2184.1423052039695</v>
      </c>
      <c r="P35" s="13">
        <f>O35+(O35*C14/100)</f>
        <v>2293.3494204641679</v>
      </c>
      <c r="Q35" s="13">
        <f>P35+(P35*C14/100)</f>
        <v>2408.0168914873761</v>
      </c>
      <c r="R35" s="13">
        <f>Q35+(Q35*C14/100)</f>
        <v>2528.417736061745</v>
      </c>
      <c r="S35" s="13">
        <f>R35+(R35*C14/100)</f>
        <v>2654.8386228648324</v>
      </c>
    </row>
    <row r="36" spans="1:19" x14ac:dyDescent="0.35">
      <c r="A36" s="5"/>
      <c r="B36" s="5" t="s">
        <v>29</v>
      </c>
      <c r="C36" s="13">
        <f>C34+N25</f>
        <v>11676.76</v>
      </c>
      <c r="D36" s="13">
        <f>SUM(C34:D34)+N25</f>
        <v>13487.338</v>
      </c>
      <c r="E36" s="13">
        <f>SUM(C34:E34)+N25</f>
        <v>15438.4249</v>
      </c>
      <c r="F36" s="13">
        <f>SUM(C34:F34)+N25</f>
        <v>17519.553144999998</v>
      </c>
      <c r="G36" s="13">
        <f>SUM(C34:G34)+N25</f>
        <v>19740.473502249999</v>
      </c>
      <c r="H36" s="13">
        <f>SUM(C34:H34)+N25</f>
        <v>22111.749147362498</v>
      </c>
      <c r="I36" s="13">
        <f>SUM(C34:I34)+N25</f>
        <v>24644.828771730623</v>
      </c>
      <c r="J36" s="13">
        <f>SUM(C34:J34)+N25</f>
        <v>27352.126594017158</v>
      </c>
      <c r="K36" s="13">
        <f>SUM(C34:K34)+N25</f>
        <v>30247.109945788015</v>
      </c>
      <c r="L36" s="13">
        <f>SUM(C34:L34)+N25</f>
        <v>33344.395167354422</v>
      </c>
      <c r="M36" s="13">
        <f>SUM(C34:M34)+N25</f>
        <v>36659.852622426843</v>
      </c>
      <c r="N36" s="13">
        <f>SUM(C34:N34)+N25</f>
        <v>40210.721719923349</v>
      </c>
      <c r="O36" s="13">
        <f>SUM(C34:O34)+N25</f>
        <v>44015.736918932205</v>
      </c>
      <c r="P36" s="13">
        <f>SUM(C34:P34)+N25</f>
        <v>48095.265789192774</v>
      </c>
      <c r="Q36" s="13">
        <f>SUM(C34:Q34)+N25</f>
        <v>52471.460305397763</v>
      </c>
      <c r="R36" s="13">
        <f>SUM(C34:R34)+N25</f>
        <v>57168.422670087537</v>
      </c>
      <c r="S36" s="13">
        <f>SUM(C34:S34)+N25</f>
        <v>62212.387087953794</v>
      </c>
    </row>
    <row r="37" spans="1:19" x14ac:dyDescent="0.35">
      <c r="A37" s="5"/>
      <c r="B37" s="5" t="s">
        <v>28</v>
      </c>
      <c r="C37" s="13">
        <f>C35+N24-N28</f>
        <v>21399.444951808942</v>
      </c>
      <c r="D37" s="13">
        <f>SUM(C35:D35)+N24-N28</f>
        <v>22676.467722079211</v>
      </c>
      <c r="E37" s="13">
        <f>SUM(C35:E35)+N24-N28</f>
        <v>24017.341630862997</v>
      </c>
      <c r="F37" s="13">
        <f>SUM(C35:F35)+N24-N28</f>
        <v>25425.259235085967</v>
      </c>
      <c r="G37" s="13">
        <f>SUM(C35:G35)+N24-N28</f>
        <v>26903.572719520089</v>
      </c>
      <c r="H37" s="13">
        <f>SUM(C35:H35)+N24-N28</f>
        <v>28455.801878175916</v>
      </c>
      <c r="I37" s="13">
        <f>SUM(C35:I35)+N24-N28</f>
        <v>30085.642494764536</v>
      </c>
      <c r="J37" s="13">
        <f>SUM(C35:J35)+N24-N28</f>
        <v>31796.975142182586</v>
      </c>
      <c r="K37" s="13">
        <f>SUM(C35:K35)+N24-N28</f>
        <v>33593.874421971537</v>
      </c>
      <c r="L37" s="13">
        <f>SUM(C35:L35)+N24-N28</f>
        <v>35480.618665749935</v>
      </c>
      <c r="M37" s="13">
        <f>SUM(C35:M35)+N24-N28</f>
        <v>37461.700121717251</v>
      </c>
      <c r="N37" s="13">
        <f>SUM(C35:N35)+N24-N28</f>
        <v>39541.835650482943</v>
      </c>
      <c r="O37" s="13">
        <f>SUM(C35:O35)+N24-N28</f>
        <v>41725.977955686903</v>
      </c>
      <c r="P37" s="13">
        <f>SUM(C35:P35)+N24-N28</f>
        <v>44019.327376151079</v>
      </c>
      <c r="Q37" s="13">
        <f>SUM(C35:Q35)+N24-N28</f>
        <v>46427.344267638444</v>
      </c>
      <c r="R37" s="13">
        <f>SUM(C35:R35)+N24-N28</f>
        <v>48955.762003700191</v>
      </c>
      <c r="S37" s="13">
        <f>SUM(C35:S35)+N24-N28</f>
        <v>51610.600626565021</v>
      </c>
    </row>
    <row r="39" spans="1:19" x14ac:dyDescent="0.35">
      <c r="A39" s="3"/>
      <c r="B39" s="16" t="s">
        <v>30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35">
      <c r="A40" s="5">
        <v>1</v>
      </c>
      <c r="B40" s="15" t="s">
        <v>55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5">
      <c r="A41" s="5">
        <v>2</v>
      </c>
      <c r="B41" s="15" t="s">
        <v>62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5">
      <c r="A42" s="5">
        <v>3</v>
      </c>
      <c r="B42" s="15" t="s">
        <v>61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5">
      <c r="A43" s="5">
        <v>4</v>
      </c>
      <c r="B43" s="15" t="s">
        <v>60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5">
      <c r="A44" s="5">
        <v>5</v>
      </c>
      <c r="B44" s="15" t="s">
        <v>59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5">
      <c r="A45" s="5">
        <v>6</v>
      </c>
      <c r="B45" s="15" t="s">
        <v>58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5">
      <c r="A46" s="5">
        <v>7</v>
      </c>
      <c r="B46" s="15" t="s">
        <v>57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5">
      <c r="A47" s="5">
        <v>8</v>
      </c>
      <c r="B47" s="15" t="s">
        <v>63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5">
      <c r="A48" s="5">
        <v>9</v>
      </c>
      <c r="B48" s="15" t="s">
        <v>64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5">
      <c r="A49" s="5">
        <v>10</v>
      </c>
      <c r="B49" s="15" t="s">
        <v>65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5">
      <c r="A50" s="5">
        <v>11</v>
      </c>
      <c r="B50" s="15" t="s">
        <v>66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5">
      <c r="A51" s="5">
        <v>12</v>
      </c>
      <c r="B51" s="15" t="s">
        <v>67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5">
      <c r="A52" s="5">
        <v>13</v>
      </c>
      <c r="B52" s="15" t="s">
        <v>68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35">
      <c r="A53" s="5">
        <v>14</v>
      </c>
      <c r="B53" s="15" t="s">
        <v>69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5">
      <c r="A54" s="5">
        <v>15</v>
      </c>
      <c r="B54" s="15" t="s">
        <v>70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35">
      <c r="A55" s="5">
        <v>16</v>
      </c>
      <c r="B55" s="15" t="s">
        <v>71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35">
      <c r="A56" s="5">
        <v>17</v>
      </c>
      <c r="B56" s="5" t="s">
        <v>92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5">
      <c r="A57" s="5">
        <v>18</v>
      </c>
      <c r="B57" s="5" t="s">
        <v>93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61" spans="1:19" x14ac:dyDescent="0.35">
      <c r="C61" s="2"/>
    </row>
  </sheetData>
  <sheetProtection selectLockedCells="1"/>
  <mergeCells count="37">
    <mergeCell ref="B1:P1"/>
    <mergeCell ref="K26:M26"/>
    <mergeCell ref="P24:R24"/>
    <mergeCell ref="P23:S23"/>
    <mergeCell ref="K23:N23"/>
    <mergeCell ref="F23:I23"/>
    <mergeCell ref="B23:C23"/>
    <mergeCell ref="F20:H20"/>
    <mergeCell ref="F21:H21"/>
    <mergeCell ref="F26:H26"/>
    <mergeCell ref="K20:M20"/>
    <mergeCell ref="K21:M21"/>
    <mergeCell ref="F25:H25"/>
    <mergeCell ref="F24:H24"/>
    <mergeCell ref="K24:M24"/>
    <mergeCell ref="K25:M25"/>
    <mergeCell ref="B40:S40"/>
    <mergeCell ref="B39:S39"/>
    <mergeCell ref="K27:M27"/>
    <mergeCell ref="F27:H27"/>
    <mergeCell ref="B54:S54"/>
    <mergeCell ref="F28:H28"/>
    <mergeCell ref="K28:M28"/>
    <mergeCell ref="B55:S55"/>
    <mergeCell ref="B41:S41"/>
    <mergeCell ref="B42:S42"/>
    <mergeCell ref="B43:S43"/>
    <mergeCell ref="B44:S44"/>
    <mergeCell ref="B45:S45"/>
    <mergeCell ref="B46:S46"/>
    <mergeCell ref="B47:S47"/>
    <mergeCell ref="B48:S48"/>
    <mergeCell ref="B49:S49"/>
    <mergeCell ref="B50:S50"/>
    <mergeCell ref="B51:S51"/>
    <mergeCell ref="B52:S52"/>
    <mergeCell ref="B53:S53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728A081-0D3D-411A-8CC4-FE1EFB3F9FD4}">
          <x14:formula1>
            <xm:f>Variablen!$B$6:$B$7</xm:f>
          </x14:formula1>
          <xm:sqref>C9</xm:sqref>
        </x14:dataValidation>
        <x14:dataValidation type="list" allowBlank="1" showInputMessage="1" showErrorMessage="1" xr:uid="{BE922E94-4BA1-48DF-B0AA-433A43E7B713}">
          <x14:formula1>
            <xm:f>Variablen!$D$6:$D$13</xm:f>
          </x14:formula1>
          <xm:sqref>C16</xm:sqref>
        </x14:dataValidation>
        <x14:dataValidation type="list" allowBlank="1" showInputMessage="1" showErrorMessage="1" xr:uid="{A71C9D80-975C-4CF4-A3EC-772CAEF6A860}">
          <x14:formula1>
            <xm:f>Variablen!$H$6:$H$11</xm:f>
          </x14:formula1>
          <xm:sqref>C19</xm:sqref>
        </x14:dataValidation>
        <x14:dataValidation type="list" allowBlank="1" showInputMessage="1" showErrorMessage="1" xr:uid="{7A62DD30-4381-4F85-97DF-4DA7B295B367}">
          <x14:formula1>
            <xm:f>Variablen!$J$6:$J$7</xm:f>
          </x14:formula1>
          <xm:sqref>C10:C11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F371-D682-4262-B3DB-029E5DF54DC5}">
  <dimension ref="A1:S61"/>
  <sheetViews>
    <sheetView tabSelected="1" zoomScale="90" zoomScaleNormal="90" workbookViewId="0">
      <selection activeCell="B61" sqref="B61"/>
    </sheetView>
  </sheetViews>
  <sheetFormatPr baseColWidth="10" defaultRowHeight="14.5" x14ac:dyDescent="0.35"/>
  <cols>
    <col min="1" max="1" width="2.90625" bestFit="1" customWidth="1"/>
    <col min="2" max="2" width="34" customWidth="1"/>
    <col min="3" max="3" width="23.08984375" customWidth="1"/>
    <col min="4" max="9" width="10.26953125" bestFit="1" customWidth="1"/>
    <col min="10" max="15" width="11.26953125" bestFit="1" customWidth="1"/>
    <col min="16" max="19" width="12.81640625" bestFit="1" customWidth="1"/>
  </cols>
  <sheetData>
    <row r="1" spans="1:19" ht="28.5" x14ac:dyDescent="0.65">
      <c r="B1" s="18" t="s">
        <v>79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7"/>
      <c r="R1" s="7"/>
      <c r="S1" s="7"/>
    </row>
    <row r="8" spans="1:19" x14ac:dyDescent="0.35">
      <c r="A8" s="3"/>
      <c r="B8" s="3" t="s">
        <v>56</v>
      </c>
      <c r="C8" s="3"/>
    </row>
    <row r="9" spans="1:19" x14ac:dyDescent="0.35">
      <c r="A9" s="4">
        <v>1</v>
      </c>
      <c r="B9" s="4" t="s">
        <v>73</v>
      </c>
      <c r="C9" s="8" t="s">
        <v>36</v>
      </c>
    </row>
    <row r="10" spans="1:19" x14ac:dyDescent="0.35">
      <c r="A10" s="4">
        <v>2</v>
      </c>
      <c r="B10" s="4" t="s">
        <v>34</v>
      </c>
      <c r="C10" s="8" t="s">
        <v>37</v>
      </c>
    </row>
    <row r="11" spans="1:19" x14ac:dyDescent="0.35">
      <c r="A11" s="4">
        <v>3</v>
      </c>
      <c r="B11" s="4" t="s">
        <v>35</v>
      </c>
      <c r="C11" s="8" t="s">
        <v>36</v>
      </c>
    </row>
    <row r="12" spans="1:19" x14ac:dyDescent="0.35">
      <c r="A12" s="4">
        <v>4</v>
      </c>
      <c r="B12" s="4" t="s">
        <v>74</v>
      </c>
      <c r="C12" s="9">
        <v>2450</v>
      </c>
    </row>
    <row r="13" spans="1:19" x14ac:dyDescent="0.35">
      <c r="A13" s="4">
        <v>5</v>
      </c>
      <c r="B13" s="4" t="s">
        <v>75</v>
      </c>
      <c r="C13" s="9">
        <v>100</v>
      </c>
    </row>
    <row r="14" spans="1:19" x14ac:dyDescent="0.35">
      <c r="A14" s="4">
        <v>6</v>
      </c>
      <c r="B14" s="4" t="s">
        <v>13</v>
      </c>
      <c r="C14" s="9">
        <v>3</v>
      </c>
    </row>
    <row r="15" spans="1:19" x14ac:dyDescent="0.35">
      <c r="A15" s="4">
        <v>7</v>
      </c>
      <c r="B15" s="4" t="s">
        <v>27</v>
      </c>
      <c r="C15" s="9">
        <v>12</v>
      </c>
    </row>
    <row r="16" spans="1:19" x14ac:dyDescent="0.35">
      <c r="A16" s="4">
        <v>8</v>
      </c>
      <c r="B16" s="4" t="s">
        <v>2</v>
      </c>
      <c r="C16" s="10" t="s">
        <v>72</v>
      </c>
    </row>
    <row r="17" spans="1:19" x14ac:dyDescent="0.35">
      <c r="A17" s="4">
        <v>9</v>
      </c>
      <c r="B17" s="4" t="s">
        <v>54</v>
      </c>
      <c r="C17" s="8">
        <v>3.8</v>
      </c>
    </row>
    <row r="18" spans="1:19" x14ac:dyDescent="0.35">
      <c r="A18" s="4">
        <v>10</v>
      </c>
      <c r="B18" s="4" t="s">
        <v>26</v>
      </c>
      <c r="C18" s="9">
        <v>32</v>
      </c>
    </row>
    <row r="19" spans="1:19" x14ac:dyDescent="0.35">
      <c r="A19" s="4">
        <v>11</v>
      </c>
      <c r="B19" s="4" t="s">
        <v>44</v>
      </c>
      <c r="C19" s="8" t="s">
        <v>39</v>
      </c>
    </row>
    <row r="20" spans="1:19" x14ac:dyDescent="0.35">
      <c r="A20" s="4">
        <v>12</v>
      </c>
      <c r="B20" s="4" t="s">
        <v>14</v>
      </c>
      <c r="C20" s="9">
        <v>28500</v>
      </c>
      <c r="F20" s="19"/>
      <c r="G20" s="19"/>
      <c r="H20" s="19"/>
      <c r="I20" s="1"/>
      <c r="K20" s="19"/>
      <c r="L20" s="19"/>
      <c r="M20" s="19"/>
    </row>
    <row r="21" spans="1:19" x14ac:dyDescent="0.35">
      <c r="A21" s="4">
        <v>13</v>
      </c>
      <c r="B21" s="4" t="s">
        <v>89</v>
      </c>
      <c r="C21" s="9">
        <v>10000</v>
      </c>
      <c r="F21" s="19"/>
      <c r="G21" s="19"/>
      <c r="H21" s="19"/>
      <c r="I21" s="2"/>
      <c r="K21" s="19"/>
      <c r="L21" s="19"/>
      <c r="M21" s="19"/>
    </row>
    <row r="22" spans="1:19" x14ac:dyDescent="0.35">
      <c r="I22" s="2"/>
    </row>
    <row r="23" spans="1:19" x14ac:dyDescent="0.35">
      <c r="A23" s="3"/>
      <c r="B23" s="16" t="s">
        <v>46</v>
      </c>
      <c r="C23" s="16"/>
      <c r="F23" s="16" t="s">
        <v>51</v>
      </c>
      <c r="G23" s="16"/>
      <c r="H23" s="16"/>
      <c r="I23" s="16"/>
      <c r="K23" s="16" t="s">
        <v>50</v>
      </c>
      <c r="L23" s="16"/>
      <c r="M23" s="16"/>
      <c r="N23" s="16"/>
      <c r="P23" s="16" t="s">
        <v>49</v>
      </c>
      <c r="Q23" s="16"/>
      <c r="R23" s="16"/>
      <c r="S23" s="16"/>
    </row>
    <row r="24" spans="1:19" x14ac:dyDescent="0.35">
      <c r="A24" s="4">
        <v>14</v>
      </c>
      <c r="B24" s="4" t="s">
        <v>52</v>
      </c>
      <c r="C24" s="11">
        <f>C12*0.85*9.8</f>
        <v>20408.5</v>
      </c>
      <c r="F24" s="17" t="s">
        <v>19</v>
      </c>
      <c r="G24" s="17"/>
      <c r="H24" s="17"/>
      <c r="I24" s="14">
        <f>IF(C16="vor 1980 unsaniert","3",IF(C16="vor 1980 teilsaniert","3,5",IF(C16="vor 1980 vollsaniert","4",IF(C16="unsaniert zwischen 1980 und 1995","3,5",IF(C16="saniert zwischen 1980 und 1995","4",IF(C16="zwischen 1995 und 2010","4,5",IF(C16="nach 2010","5",C17)))))))</f>
        <v>3.8</v>
      </c>
      <c r="K24" s="17" t="s">
        <v>23</v>
      </c>
      <c r="L24" s="17"/>
      <c r="M24" s="17"/>
      <c r="N24" s="13">
        <f>C20-(N27/100*I27)</f>
        <v>12825</v>
      </c>
      <c r="P24" s="17" t="s">
        <v>48</v>
      </c>
      <c r="Q24" s="17"/>
      <c r="R24" s="17"/>
      <c r="S24" s="14">
        <v>30</v>
      </c>
    </row>
    <row r="25" spans="1:19" x14ac:dyDescent="0.35">
      <c r="A25" s="4">
        <v>15</v>
      </c>
      <c r="B25" s="4" t="s">
        <v>53</v>
      </c>
      <c r="C25" s="12">
        <f>C24/I24</f>
        <v>5370.6578947368425</v>
      </c>
      <c r="F25" s="17" t="s">
        <v>22</v>
      </c>
      <c r="G25" s="17"/>
      <c r="H25" s="17"/>
      <c r="I25" s="11">
        <f>IF(C19="Bis 5000 kWh",C24/I24*0.15,IF(C19="5000-10000 kWh",C24/I24*0.22,IF(C19="10000-15000 kWh",C24/I24*0.3,IF(C19="15000-20000 kWh",C24/I24*0.37,IF(C19="Über 20000 kWh",C24/I24*0.45,0)))))</f>
        <v>1181.5447368421053</v>
      </c>
      <c r="K25" s="17" t="s">
        <v>82</v>
      </c>
      <c r="L25" s="17"/>
      <c r="M25" s="17"/>
      <c r="N25" s="13">
        <f>C21</f>
        <v>10000</v>
      </c>
      <c r="P25" s="4" t="s">
        <v>31</v>
      </c>
      <c r="Q25" s="4"/>
      <c r="R25" s="4"/>
      <c r="S25" s="14" t="str">
        <f>IF(C9="Ja","20","0")</f>
        <v>20</v>
      </c>
    </row>
    <row r="26" spans="1:19" x14ac:dyDescent="0.35">
      <c r="A26" s="4">
        <v>16</v>
      </c>
      <c r="B26" s="4" t="s">
        <v>47</v>
      </c>
      <c r="C26" s="13">
        <f>C25*I26</f>
        <v>1458.6706842105266</v>
      </c>
      <c r="F26" s="17" t="s">
        <v>20</v>
      </c>
      <c r="G26" s="17"/>
      <c r="H26" s="17"/>
      <c r="I26" s="13">
        <f>(I25*0.1+(C24/I24-I25)*C18/100)/(C24/I24)</f>
        <v>0.27160000000000001</v>
      </c>
      <c r="K26" s="17" t="s">
        <v>77</v>
      </c>
      <c r="L26" s="17"/>
      <c r="M26" s="17"/>
      <c r="N26" s="13">
        <f>N24-N25</f>
        <v>2825</v>
      </c>
      <c r="P26" s="4" t="s">
        <v>32</v>
      </c>
      <c r="Q26" s="4"/>
      <c r="R26" s="4"/>
      <c r="S26" s="14" t="str">
        <f>IF(C10="Ja","20","0")</f>
        <v>0</v>
      </c>
    </row>
    <row r="27" spans="1:19" x14ac:dyDescent="0.35">
      <c r="F27" s="17" t="s">
        <v>38</v>
      </c>
      <c r="G27" s="17"/>
      <c r="H27" s="17"/>
      <c r="I27" s="14">
        <f>MIN(70,(S24+S25+S26+S27))</f>
        <v>55</v>
      </c>
      <c r="K27" s="17" t="s">
        <v>76</v>
      </c>
      <c r="L27" s="17"/>
      <c r="M27" s="17"/>
      <c r="N27" s="13">
        <f>MIN(30000,(C20))</f>
        <v>28500</v>
      </c>
      <c r="P27" s="4" t="s">
        <v>33</v>
      </c>
      <c r="Q27" s="4"/>
      <c r="R27" s="4"/>
      <c r="S27" s="14" t="str">
        <f>IF(C11="Ja","5","0")</f>
        <v>5</v>
      </c>
    </row>
    <row r="28" spans="1:19" x14ac:dyDescent="0.35">
      <c r="A28" s="4">
        <v>17</v>
      </c>
      <c r="B28" s="22" t="s">
        <v>91</v>
      </c>
      <c r="C28" s="24">
        <v>3.9E-2</v>
      </c>
      <c r="F28" s="17"/>
      <c r="G28" s="17"/>
      <c r="H28" s="17"/>
      <c r="I28" s="20"/>
      <c r="K28" s="17" t="s">
        <v>94</v>
      </c>
      <c r="L28" s="17"/>
      <c r="M28" s="17"/>
      <c r="N28" s="21">
        <f>CUMIPMT(C28/12,C29*12,N26,1,60,0)</f>
        <v>-549.50236137855154</v>
      </c>
      <c r="P28" s="4"/>
      <c r="Q28" s="4"/>
      <c r="R28" s="4"/>
      <c r="S28" s="20"/>
    </row>
    <row r="29" spans="1:19" x14ac:dyDescent="0.35">
      <c r="A29" s="4">
        <v>18</v>
      </c>
      <c r="B29" s="22" t="s">
        <v>90</v>
      </c>
      <c r="C29" s="25">
        <v>96</v>
      </c>
      <c r="I29" s="1"/>
    </row>
    <row r="30" spans="1:19" x14ac:dyDescent="0.35">
      <c r="I30" s="1"/>
    </row>
    <row r="31" spans="1:19" x14ac:dyDescent="0.35">
      <c r="A31" s="3"/>
      <c r="B31" s="3" t="s">
        <v>18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35">
      <c r="A32" s="6"/>
      <c r="B32" s="6" t="s">
        <v>16</v>
      </c>
      <c r="C32" s="6">
        <v>2024</v>
      </c>
      <c r="D32" s="6">
        <v>2025</v>
      </c>
      <c r="E32" s="6">
        <v>2026</v>
      </c>
      <c r="F32" s="6">
        <v>2027</v>
      </c>
      <c r="G32" s="6">
        <v>2028</v>
      </c>
      <c r="H32" s="6">
        <v>2029</v>
      </c>
      <c r="I32" s="6">
        <v>2030</v>
      </c>
      <c r="J32" s="6">
        <v>2031</v>
      </c>
      <c r="K32" s="6">
        <v>2032</v>
      </c>
      <c r="L32" s="6">
        <v>2033</v>
      </c>
      <c r="M32" s="6">
        <v>2034</v>
      </c>
      <c r="N32" s="6">
        <v>2035</v>
      </c>
      <c r="O32" s="6">
        <v>2036</v>
      </c>
      <c r="P32" s="6">
        <v>2037</v>
      </c>
      <c r="Q32" s="6">
        <v>2038</v>
      </c>
      <c r="R32" s="6">
        <v>2039</v>
      </c>
      <c r="S32" s="6">
        <v>2040</v>
      </c>
    </row>
    <row r="33" spans="1:19" x14ac:dyDescent="0.35">
      <c r="A33" s="5"/>
      <c r="B33" s="5" t="s">
        <v>17</v>
      </c>
      <c r="C33" s="13">
        <v>45</v>
      </c>
      <c r="D33" s="13">
        <v>55</v>
      </c>
      <c r="E33" s="13">
        <v>65</v>
      </c>
      <c r="F33" s="13">
        <f>E33*(1+(C15/100))</f>
        <v>72.800000000000011</v>
      </c>
      <c r="G33" s="13">
        <f>F33*(1+(C15/100))</f>
        <v>81.536000000000016</v>
      </c>
      <c r="H33" s="13">
        <f>G33*(1+(C15/100))</f>
        <v>91.320320000000024</v>
      </c>
      <c r="I33" s="13">
        <f>H33*(1+(C15/100))</f>
        <v>102.27875840000003</v>
      </c>
      <c r="J33" s="13">
        <f>I33*(1+(C15/100))</f>
        <v>114.55220940800004</v>
      </c>
      <c r="K33" s="13">
        <f>J33*(1+(C15/100))</f>
        <v>128.29847453696004</v>
      </c>
      <c r="L33" s="13">
        <f>K33*(1+(C15/100))</f>
        <v>143.69429148139525</v>
      </c>
      <c r="M33" s="13">
        <f>L33*(1+(C15/100))</f>
        <v>160.93760645916271</v>
      </c>
      <c r="N33" s="13">
        <f>M33*(1+(C15/100))</f>
        <v>180.25011923426226</v>
      </c>
      <c r="O33" s="13">
        <f>N33*(1+(C15/100))</f>
        <v>201.88013354237376</v>
      </c>
      <c r="P33" s="13">
        <f>O33*(1+(C15/100))</f>
        <v>226.10574956745862</v>
      </c>
      <c r="Q33" s="13">
        <f>P33*(1+(C15/100))</f>
        <v>253.23843951555367</v>
      </c>
      <c r="R33" s="13">
        <f>Q33*(1+(C15/100))</f>
        <v>283.62705225742013</v>
      </c>
      <c r="S33" s="13">
        <f>R33*(1+(C15/100))</f>
        <v>317.6622985283106</v>
      </c>
    </row>
    <row r="34" spans="1:19" x14ac:dyDescent="0.35">
      <c r="A34" s="5"/>
      <c r="B34" s="5" t="s">
        <v>80</v>
      </c>
      <c r="C34" s="13">
        <f>((C12*C13/100)+((C33*1.19)*(C12/450))+60+(2.5*C18))</f>
        <v>2881.55</v>
      </c>
      <c r="D34" s="13">
        <f>C34+C34*(C14/100)+(D33-C33)*1.19*(C12/450)</f>
        <v>3032.785388888889</v>
      </c>
      <c r="E34" s="13">
        <f>D34+D34*(C14/100)+(E33-D33)*1.19*(C12/450)</f>
        <v>3188.5578394444442</v>
      </c>
      <c r="F34" s="13">
        <f>E34+E34*(C14/100)+(F33-E33)*1.19*(C12/450)</f>
        <v>3334.7499079611107</v>
      </c>
      <c r="G34" s="13">
        <f>F34+F34*(C14/100)+(G33-F33)*1.19*(C12/450)</f>
        <v>3491.3919785332773</v>
      </c>
      <c r="H34" s="13">
        <f>G34+G34*(C14/100)+(H33-G33)*1.19*(C12/450)</f>
        <v>3659.525260022609</v>
      </c>
      <c r="I34" s="13">
        <f>H34+H34*(C14/100)+(I33-H33)*1.19*(C12/450)</f>
        <v>3840.3095226126206</v>
      </c>
      <c r="J34" s="13">
        <f>I34+I34*(C14/100)+(J33-I33)*1.19*(C12/450)</f>
        <v>4035.0371336550529</v>
      </c>
      <c r="K34" s="13">
        <f>J34+J34*(C14/100)+(K33-J33)*1.19*(C12/450)</f>
        <v>4245.1487720724444</v>
      </c>
      <c r="L34" s="13">
        <f>K34+K34*(C14/100)+(L33-K33)*1.19*(C12/450)</f>
        <v>4472.2510225712867</v>
      </c>
      <c r="M34" s="13">
        <f>L34+L34*(C14/100)+(M33-L33)*1.19*(C12/450)</f>
        <v>4718.136075065494</v>
      </c>
      <c r="N34" s="13">
        <f>M34+M34*(C14/100)+(N33-M33)*1.19*(C12/450)</f>
        <v>4984.8037817525765</v>
      </c>
      <c r="O34" s="13">
        <f>N34+N34*(C14/100)+(O33-N33)*1.19*(C12/450)</f>
        <v>5274.4863545724847</v>
      </c>
      <c r="P34" s="13">
        <f>O34+O34*(C14/100)+(P33-O33)*1.19*(C12/450)</f>
        <v>5589.6760197010708</v>
      </c>
      <c r="Q34" s="13">
        <f>P34+P34*(C14/100)+(Q33-P33)*1.19*(C12/450)</f>
        <v>5933.1559837224831</v>
      </c>
      <c r="R34" s="13">
        <f>Q34+Q34*(C14/100)+(R33-Q33)*1.19*(C12/450)</f>
        <v>6308.0351086761839</v>
      </c>
      <c r="S34" s="13">
        <f>R34+R34*(C14/100)+(S33-R33)*1.19*(C12/450)</f>
        <v>6717.7867408315387</v>
      </c>
    </row>
    <row r="35" spans="1:19" x14ac:dyDescent="0.35">
      <c r="A35" s="5"/>
      <c r="B35" s="5" t="s">
        <v>21</v>
      </c>
      <c r="C35" s="13">
        <f>(C24/I24)*(C18/100)-(I25*((C18-10)/100))</f>
        <v>1458.6706842105266</v>
      </c>
      <c r="D35" s="13">
        <f>C35+(C35*C14/100)</f>
        <v>1502.4308047368424</v>
      </c>
      <c r="E35" s="13">
        <f>D35+(D35*C14/100)</f>
        <v>1547.5037288789476</v>
      </c>
      <c r="F35" s="13">
        <f>E35+(E35*C14/100)</f>
        <v>1593.9288407453162</v>
      </c>
      <c r="G35" s="13">
        <f>F35+(F35*C14/100)</f>
        <v>1641.7467059676756</v>
      </c>
      <c r="H35" s="13">
        <f>G35+(G35*C14/100)</f>
        <v>1690.9991071467059</v>
      </c>
      <c r="I35" s="13">
        <f>H35+(H35*C14/100)</f>
        <v>1741.729080361107</v>
      </c>
      <c r="J35" s="13">
        <f>I35+(I35*C14/100)</f>
        <v>1793.9809527719401</v>
      </c>
      <c r="K35" s="13">
        <f>J35+(J35*C14/100)</f>
        <v>1847.8003813550984</v>
      </c>
      <c r="L35" s="13">
        <f>K35+(K35*C14/100)</f>
        <v>1903.2343927957513</v>
      </c>
      <c r="M35" s="13">
        <f>L35+(L35*C14/100)</f>
        <v>1960.3314245796239</v>
      </c>
      <c r="N35" s="13">
        <f>M35+(M35*C14/100)</f>
        <v>2019.1413673170125</v>
      </c>
      <c r="O35" s="13">
        <f>N35+(N35*C14/100)</f>
        <v>2079.715608336523</v>
      </c>
      <c r="P35" s="13">
        <f>O35+(O35*C14/100)</f>
        <v>2142.1070765866189</v>
      </c>
      <c r="Q35" s="13">
        <f>P35+(P35*C14/100)</f>
        <v>2206.3702888842176</v>
      </c>
      <c r="R35" s="13">
        <f>Q35+(Q35*C14/100)</f>
        <v>2272.561397550744</v>
      </c>
      <c r="S35" s="13">
        <f>R35+(R35*C14/100)</f>
        <v>2340.7382394772662</v>
      </c>
    </row>
    <row r="36" spans="1:19" x14ac:dyDescent="0.35">
      <c r="A36" s="5"/>
      <c r="B36" s="5" t="s">
        <v>81</v>
      </c>
      <c r="C36" s="13">
        <f>C34+N25</f>
        <v>12881.55</v>
      </c>
      <c r="D36" s="13">
        <f>SUM(C34:D34)+N25</f>
        <v>15914.335388888889</v>
      </c>
      <c r="E36" s="13">
        <f>SUM(C34:E34)+N25</f>
        <v>19102.893228333334</v>
      </c>
      <c r="F36" s="13">
        <f>SUM(C34:F34)+N25</f>
        <v>22437.643136294442</v>
      </c>
      <c r="G36" s="13">
        <f>SUM(C34:G34)+N25</f>
        <v>25929.035114827719</v>
      </c>
      <c r="H36" s="13">
        <f>SUM(C34:H34)+N25</f>
        <v>29588.560374850327</v>
      </c>
      <c r="I36" s="13">
        <f>SUM(C34:I34)+N25</f>
        <v>33428.869897462951</v>
      </c>
      <c r="J36" s="13">
        <f>SUM(C34:J34)+N25</f>
        <v>37463.907031117997</v>
      </c>
      <c r="K36" s="13">
        <f>SUM(C34:K34)+N25</f>
        <v>41709.055803190444</v>
      </c>
      <c r="L36" s="13">
        <f>SUM(C34:L34)+N25</f>
        <v>46181.306825761727</v>
      </c>
      <c r="M36" s="13">
        <f>SUM(C34:M34)+N25</f>
        <v>50899.44290082722</v>
      </c>
      <c r="N36" s="13">
        <f>SUM(C34:N34)+N25</f>
        <v>55884.246682579796</v>
      </c>
      <c r="O36" s="13">
        <f>SUM(C34:O34)+N25</f>
        <v>61158.733037152284</v>
      </c>
      <c r="P36" s="13">
        <f>SUM(C34:P34)+N25</f>
        <v>66748.409056853357</v>
      </c>
      <c r="Q36" s="13">
        <f>SUM(C34:Q34)+N25</f>
        <v>72681.565040575835</v>
      </c>
      <c r="R36" s="13">
        <f>SUM(C34:R34)+N25</f>
        <v>78989.60014925203</v>
      </c>
      <c r="S36" s="13">
        <f>SUM(C34:S34)+N25</f>
        <v>85707.386890083566</v>
      </c>
    </row>
    <row r="37" spans="1:19" x14ac:dyDescent="0.35">
      <c r="A37" s="5"/>
      <c r="B37" s="5" t="s">
        <v>28</v>
      </c>
      <c r="C37" s="13">
        <f>C35+N24-N28</f>
        <v>14833.173045589079</v>
      </c>
      <c r="D37" s="13">
        <f>SUM(C35:D35)+N24-N28</f>
        <v>16335.603850325922</v>
      </c>
      <c r="E37" s="13">
        <f>SUM(C35:E35)+N24-N28</f>
        <v>17883.107579204869</v>
      </c>
      <c r="F37" s="13">
        <f>SUM(C35:F35)+N24-N28</f>
        <v>19477.036419950186</v>
      </c>
      <c r="G37" s="13">
        <f>SUM(C35:G35)+N24-N28</f>
        <v>21118.78312591786</v>
      </c>
      <c r="H37" s="13">
        <f>SUM(C35:H35)+N24-N28</f>
        <v>22809.782233064565</v>
      </c>
      <c r="I37" s="13">
        <f>SUM(C35:I35)+N24-N28</f>
        <v>24551.511313425675</v>
      </c>
      <c r="J37" s="13">
        <f>SUM(C35:J35)+N24-N28</f>
        <v>26345.492266197616</v>
      </c>
      <c r="K37" s="13">
        <f>SUM(C35:K35)+N24-N28</f>
        <v>28193.292647552713</v>
      </c>
      <c r="L37" s="13">
        <f>SUM(C35:L35)+N24-N28</f>
        <v>30096.527040348465</v>
      </c>
      <c r="M37" s="13">
        <f>SUM(C35:M35)+N24-N28</f>
        <v>32056.858464928089</v>
      </c>
      <c r="N37" s="13">
        <f>SUM(C35:N35)+N24-N28</f>
        <v>34075.999832245107</v>
      </c>
      <c r="O37" s="13">
        <f>SUM(C35:O35)+N24-N28</f>
        <v>36155.715440581625</v>
      </c>
      <c r="P37" s="13">
        <f>SUM(C35:P35)+N24-N28</f>
        <v>38297.822517168242</v>
      </c>
      <c r="Q37" s="13">
        <f>SUM(C35:Q35)+N24-N28</f>
        <v>40504.192806052459</v>
      </c>
      <c r="R37" s="13">
        <f>SUM(C35:R35)+N24-N28</f>
        <v>42776.754203603203</v>
      </c>
      <c r="S37" s="13">
        <f>SUM(C35:S35)+N24-N28</f>
        <v>45117.492443080468</v>
      </c>
    </row>
    <row r="39" spans="1:19" x14ac:dyDescent="0.35">
      <c r="A39" s="3"/>
      <c r="B39" s="16" t="s">
        <v>30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35">
      <c r="A40" s="5">
        <v>1</v>
      </c>
      <c r="B40" s="15" t="s">
        <v>83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35">
      <c r="A41" s="5">
        <v>2</v>
      </c>
      <c r="B41" s="15" t="s">
        <v>62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35">
      <c r="A42" s="5">
        <v>3</v>
      </c>
      <c r="B42" s="15" t="s">
        <v>61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35">
      <c r="A43" s="5">
        <v>4</v>
      </c>
      <c r="B43" s="15" t="s">
        <v>84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35">
      <c r="A44" s="5">
        <v>5</v>
      </c>
      <c r="B44" s="15" t="s">
        <v>85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35">
      <c r="A45" s="5">
        <v>6</v>
      </c>
      <c r="B45" s="15" t="s">
        <v>86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35">
      <c r="A46" s="5">
        <v>7</v>
      </c>
      <c r="B46" s="15" t="s">
        <v>57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35">
      <c r="A47" s="5">
        <v>8</v>
      </c>
      <c r="B47" s="15" t="s">
        <v>63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35">
      <c r="A48" s="5">
        <v>9</v>
      </c>
      <c r="B48" s="15" t="s">
        <v>64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35">
      <c r="A49" s="5">
        <v>10</v>
      </c>
      <c r="B49" s="15" t="s">
        <v>65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35">
      <c r="A50" s="5">
        <v>11</v>
      </c>
      <c r="B50" s="15" t="s">
        <v>66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35">
      <c r="A51" s="5">
        <v>12</v>
      </c>
      <c r="B51" s="15" t="s">
        <v>67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35">
      <c r="A52" s="5">
        <v>13</v>
      </c>
      <c r="B52" s="15" t="s">
        <v>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35">
      <c r="A53" s="5">
        <v>14</v>
      </c>
      <c r="B53" s="15" t="s">
        <v>88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35">
      <c r="A54" s="5">
        <v>15</v>
      </c>
      <c r="B54" s="15" t="s">
        <v>70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35">
      <c r="A55" s="5">
        <v>16</v>
      </c>
      <c r="B55" s="15" t="s">
        <v>71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35">
      <c r="A56" s="5">
        <v>17</v>
      </c>
      <c r="B56" s="5" t="s">
        <v>92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x14ac:dyDescent="0.35">
      <c r="A57" s="5">
        <v>18</v>
      </c>
      <c r="B57" s="5" t="s">
        <v>93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</row>
    <row r="61" spans="1:19" x14ac:dyDescent="0.35">
      <c r="C61" s="2"/>
    </row>
  </sheetData>
  <mergeCells count="37">
    <mergeCell ref="B55:S55"/>
    <mergeCell ref="B44:S44"/>
    <mergeCell ref="B45:S45"/>
    <mergeCell ref="B46:S46"/>
    <mergeCell ref="B47:S47"/>
    <mergeCell ref="B48:S48"/>
    <mergeCell ref="B49:S49"/>
    <mergeCell ref="B50:S50"/>
    <mergeCell ref="B51:S51"/>
    <mergeCell ref="B52:S52"/>
    <mergeCell ref="B53:S53"/>
    <mergeCell ref="B54:S54"/>
    <mergeCell ref="B43:S43"/>
    <mergeCell ref="F24:H24"/>
    <mergeCell ref="K24:M24"/>
    <mergeCell ref="P24:R24"/>
    <mergeCell ref="F25:H25"/>
    <mergeCell ref="K25:M25"/>
    <mergeCell ref="F26:H26"/>
    <mergeCell ref="K26:M26"/>
    <mergeCell ref="F27:H27"/>
    <mergeCell ref="B39:S39"/>
    <mergeCell ref="B40:S40"/>
    <mergeCell ref="B41:S41"/>
    <mergeCell ref="B42:S42"/>
    <mergeCell ref="F28:H28"/>
    <mergeCell ref="K28:M28"/>
    <mergeCell ref="B1:P1"/>
    <mergeCell ref="F20:H20"/>
    <mergeCell ref="K20:M20"/>
    <mergeCell ref="F21:H21"/>
    <mergeCell ref="K21:M21"/>
    <mergeCell ref="B23:C23"/>
    <mergeCell ref="F23:I23"/>
    <mergeCell ref="K23:N23"/>
    <mergeCell ref="P23:S23"/>
    <mergeCell ref="K27:M27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DC1EFA4-5EFE-458C-9277-EDFDB516C775}">
          <x14:formula1>
            <xm:f>Variablen!$J$6:$J$7</xm:f>
          </x14:formula1>
          <xm:sqref>C10:C11</xm:sqref>
        </x14:dataValidation>
        <x14:dataValidation type="list" allowBlank="1" showInputMessage="1" showErrorMessage="1" xr:uid="{583635FE-389F-40BE-992D-A83147F9BF8C}">
          <x14:formula1>
            <xm:f>Variablen!$H$6:$H$11</xm:f>
          </x14:formula1>
          <xm:sqref>C19</xm:sqref>
        </x14:dataValidation>
        <x14:dataValidation type="list" allowBlank="1" showInputMessage="1" showErrorMessage="1" xr:uid="{AD409520-009C-4761-BD27-031295C53093}">
          <x14:formula1>
            <xm:f>Variablen!$D$6:$D$13</xm:f>
          </x14:formula1>
          <xm:sqref>C16</xm:sqref>
        </x14:dataValidation>
        <x14:dataValidation type="list" allowBlank="1" showInputMessage="1" showErrorMessage="1" xr:uid="{968F6956-3DF8-4EFE-8A66-F9ADFD43F6D5}">
          <x14:formula1>
            <xm:f>Variablen!$J$6</xm:f>
          </x14:formula1>
          <xm:sqref>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1822-EA52-469B-98E2-04CA22B9BCE0}">
  <dimension ref="B6:J13"/>
  <sheetViews>
    <sheetView workbookViewId="0">
      <selection activeCell="D14" sqref="D14"/>
    </sheetView>
  </sheetViews>
  <sheetFormatPr baseColWidth="10" defaultRowHeight="14.5" x14ac:dyDescent="0.35"/>
  <sheetData>
    <row r="6" spans="2:10" x14ac:dyDescent="0.35">
      <c r="B6" t="s">
        <v>3</v>
      </c>
      <c r="D6" t="s">
        <v>10</v>
      </c>
      <c r="H6" t="s">
        <v>45</v>
      </c>
      <c r="J6" t="s">
        <v>36</v>
      </c>
    </row>
    <row r="7" spans="2:10" x14ac:dyDescent="0.35">
      <c r="B7" t="s">
        <v>4</v>
      </c>
      <c r="D7" t="s">
        <v>9</v>
      </c>
      <c r="H7" t="s">
        <v>39</v>
      </c>
      <c r="J7" t="s">
        <v>37</v>
      </c>
    </row>
    <row r="8" spans="2:10" x14ac:dyDescent="0.35">
      <c r="D8" t="s">
        <v>11</v>
      </c>
      <c r="H8" t="s">
        <v>40</v>
      </c>
    </row>
    <row r="9" spans="2:10" x14ac:dyDescent="0.35">
      <c r="D9" t="s">
        <v>5</v>
      </c>
      <c r="H9" t="s">
        <v>41</v>
      </c>
    </row>
    <row r="10" spans="2:10" x14ac:dyDescent="0.35">
      <c r="D10" t="s">
        <v>6</v>
      </c>
      <c r="H10" t="s">
        <v>42</v>
      </c>
    </row>
    <row r="11" spans="2:10" x14ac:dyDescent="0.35">
      <c r="D11" t="s">
        <v>7</v>
      </c>
      <c r="H11" t="s">
        <v>43</v>
      </c>
    </row>
    <row r="12" spans="2:10" x14ac:dyDescent="0.35">
      <c r="D12" t="s">
        <v>8</v>
      </c>
    </row>
    <row r="13" spans="2:10" x14ac:dyDescent="0.35">
      <c r="D13" t="s">
        <v>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Gas</vt:lpstr>
      <vt:lpstr>Öl</vt:lpstr>
      <vt:lpstr>Variablen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Oster</dc:creator>
  <cp:lastModifiedBy>Martin Oster</cp:lastModifiedBy>
  <dcterms:created xsi:type="dcterms:W3CDTF">2024-01-11T19:58:20Z</dcterms:created>
  <dcterms:modified xsi:type="dcterms:W3CDTF">2024-02-19T15:01:56Z</dcterms:modified>
</cp:coreProperties>
</file>